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95" windowHeight="8715" activeTab="0"/>
  </bookViews>
  <sheets>
    <sheet name="AG04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 Me</author>
  </authors>
  <commentList>
    <comment ref="F12" authorId="0">
      <text>
        <r>
          <rPr>
            <b/>
            <sz val="8"/>
            <rFont val="Tahoma"/>
            <family val="0"/>
          </rPr>
          <t xml:space="preserve"> Me:</t>
        </r>
        <r>
          <rPr>
            <sz val="8"/>
            <rFont val="Tahoma"/>
            <family val="0"/>
          </rPr>
          <t xml:space="preserve">
Percent specialty grains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 Me:</t>
        </r>
        <r>
          <rPr>
            <sz val="8"/>
            <rFont val="Tahoma"/>
            <family val="0"/>
          </rPr>
          <t xml:space="preserve">
Ounces/pct of grain bill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 Me:</t>
        </r>
        <r>
          <rPr>
            <sz val="8"/>
            <rFont val="Tahoma"/>
            <family val="0"/>
          </rPr>
          <t xml:space="preserve">
0.75 for an ale
degP = SG points / 4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 Me:</t>
        </r>
        <r>
          <rPr>
            <sz val="8"/>
            <rFont val="Tahoma"/>
            <family val="0"/>
          </rPr>
          <t xml:space="preserve">
Re-hydrate into water 10x weight of yeast, from 30-35 degC.  Weigh the water, sprinkle the yeast on top, let sit for 15 minutes.  Stir &amp; let sit for 5 minutes.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 Me:</t>
        </r>
        <r>
          <rPr>
            <sz val="8"/>
            <rFont val="Tahoma"/>
            <family val="0"/>
          </rPr>
          <t xml:space="preserve">
1 lb grain = .75 lb LME = .6 lb DME </t>
        </r>
      </text>
    </comment>
  </commentList>
</comments>
</file>

<file path=xl/sharedStrings.xml><?xml version="1.0" encoding="utf-8"?>
<sst xmlns="http://schemas.openxmlformats.org/spreadsheetml/2006/main" count="192" uniqueCount="154">
  <si>
    <t>lb</t>
  </si>
  <si>
    <t>Grain points</t>
  </si>
  <si>
    <t>Potential</t>
  </si>
  <si>
    <t>gallons collected=</t>
  </si>
  <si>
    <t>Efficiency post-boil</t>
  </si>
  <si>
    <t>30deg C</t>
  </si>
  <si>
    <t>35 degC</t>
  </si>
  <si>
    <t>Special B Malt (Belgium) (180°L) per lb.</t>
  </si>
  <si>
    <t>Chinook hops</t>
  </si>
  <si>
    <t>Williamette's hops</t>
  </si>
  <si>
    <t>Aroma</t>
  </si>
  <si>
    <t>Both</t>
  </si>
  <si>
    <t>Bittering</t>
  </si>
  <si>
    <t>Magnum</t>
  </si>
  <si>
    <t>Centennial</t>
  </si>
  <si>
    <t>Utilization</t>
  </si>
  <si>
    <t>mg/L acid</t>
  </si>
  <si>
    <t>Bigness factor</t>
  </si>
  <si>
    <t>Boil time factor</t>
  </si>
  <si>
    <t>http://www.realbeer.com/hops/research.html</t>
  </si>
  <si>
    <t>Points/IBU=</t>
  </si>
  <si>
    <t>Flaked oats, per lb</t>
  </si>
  <si>
    <t>Columbus</t>
  </si>
  <si>
    <t>Bee cave porter kit from brewmastersWarehouse.com</t>
  </si>
  <si>
    <t>British Crystal Malt (Medium - 40°L) per lb.</t>
  </si>
  <si>
    <t>Pre-brewing Checklist:</t>
  </si>
  <si>
    <t>Propane: 3 lb or more in bottle</t>
  </si>
  <si>
    <t>Grains</t>
  </si>
  <si>
    <t>Hops</t>
  </si>
  <si>
    <t>Yeast</t>
  </si>
  <si>
    <t>Recipe:</t>
  </si>
  <si>
    <t>Ice for wort chiller</t>
  </si>
  <si>
    <t>Iodophor (sanitizer)</t>
  </si>
  <si>
    <t>Bottles &amp; caps</t>
  </si>
  <si>
    <t>Priming sugar (4-5oz)</t>
  </si>
  <si>
    <t>Equipment:</t>
  </si>
  <si>
    <t>Scale</t>
  </si>
  <si>
    <t>Brew pot</t>
  </si>
  <si>
    <t>Thermometer</t>
  </si>
  <si>
    <t>5-Star PH5.2</t>
  </si>
  <si>
    <t>Distilled water for steamer</t>
  </si>
  <si>
    <t>Hydrometer</t>
  </si>
  <si>
    <t>MLT with valve &amp; tubing</t>
  </si>
  <si>
    <t>Steps:</t>
  </si>
  <si>
    <t>pre-heat MLT</t>
  </si>
  <si>
    <t>measure out first batch of water</t>
  </si>
  <si>
    <t>add 1/2 water, all the grains, rest of the water</t>
  </si>
  <si>
    <t>Water pot</t>
  </si>
  <si>
    <t>Big spoon</t>
  </si>
  <si>
    <t>Adding 8oz of flaked oats</t>
  </si>
  <si>
    <t>Pre-heat MLT</t>
  </si>
  <si>
    <t>Add grains &amp; water at 175 degF</t>
  </si>
  <si>
    <t>Hot water filter</t>
  </si>
  <si>
    <t>stir, measure temp</t>
  </si>
  <si>
    <t>Blankets</t>
  </si>
  <si>
    <t>cover with blankets for 1 hour</t>
  </si>
  <si>
    <t>measure out how much wort collected</t>
  </si>
  <si>
    <t>put in spreadsheet</t>
  </si>
  <si>
    <t>heat first batch of water to 175 degrees</t>
  </si>
  <si>
    <t>add 5Star 5.2</t>
  </si>
  <si>
    <t>pour out MLT pre-heat water</t>
  </si>
  <si>
    <t>measure out second batch of water</t>
  </si>
  <si>
    <t>heat to 175 degrees</t>
  </si>
  <si>
    <t>add to MLT, stir</t>
  </si>
  <si>
    <t>wait 15 minutes</t>
  </si>
  <si>
    <t>measure SG</t>
  </si>
  <si>
    <t>boil for 30 minutes</t>
  </si>
  <si>
    <t>add hops, malto-dextrin per recipe</t>
  </si>
  <si>
    <t>chill to 80 degrees with wort chiller</t>
  </si>
  <si>
    <t>hydrate yeast</t>
  </si>
  <si>
    <t>add yeast to carboy</t>
  </si>
  <si>
    <t>add wort to carboy</t>
  </si>
  <si>
    <t>set up carboy with blowoff tube</t>
  </si>
  <si>
    <t>Wort chiller</t>
  </si>
  <si>
    <t>Two carboy's</t>
  </si>
  <si>
    <t>Carboy funnel</t>
  </si>
  <si>
    <t>Blowoff tube with drilled stopper</t>
  </si>
  <si>
    <t>vorlauf, drain to boil kettle</t>
  </si>
  <si>
    <t>Spray bottle</t>
  </si>
  <si>
    <t>Propane burner &amp; lighter</t>
  </si>
  <si>
    <t>Tablespoon</t>
  </si>
  <si>
    <t>Domestic Two-Row Pale (1.5°) per lb.</t>
  </si>
  <si>
    <t xml:space="preserve">Chocolate Malt (350°L) </t>
  </si>
  <si>
    <t xml:space="preserve">British Black Patent Malt (500°L) per lb. </t>
  </si>
  <si>
    <t>British Roast Unmalted Barley (600°L) per lb.</t>
  </si>
  <si>
    <t>Flaked Barley per lb.</t>
  </si>
  <si>
    <t>quarts/lb</t>
  </si>
  <si>
    <t>gallons=</t>
  </si>
  <si>
    <t>tsp 5.2ph=</t>
  </si>
  <si>
    <t>SS pot lb</t>
  </si>
  <si>
    <t>Mash at 154 degrees for 60 minutes</t>
  </si>
  <si>
    <t>Alum pot lb</t>
  </si>
  <si>
    <t>Alum pot &amp; lid</t>
  </si>
  <si>
    <t>gal collected=</t>
  </si>
  <si>
    <t>Target gal</t>
  </si>
  <si>
    <t>more mashes</t>
  </si>
  <si>
    <t>gal each</t>
  </si>
  <si>
    <t>Mash at 154 degrees for 15 minutes, twice</t>
  </si>
  <si>
    <t>Grain bill</t>
  </si>
  <si>
    <t>Mashing</t>
  </si>
  <si>
    <t>Boiling</t>
  </si>
  <si>
    <t xml:space="preserve">Malto-Dextrin - 8 oz. </t>
  </si>
  <si>
    <t xml:space="preserve">Northern Brewer (B) Pellets 1 oz </t>
  </si>
  <si>
    <t>minutes</t>
  </si>
  <si>
    <t>oz</t>
  </si>
  <si>
    <t>Total boil time</t>
  </si>
  <si>
    <t>Add hops</t>
  </si>
  <si>
    <t>minutes before end</t>
  </si>
  <si>
    <t>Add malto-dextrin</t>
  </si>
  <si>
    <t>Add chiller</t>
  </si>
  <si>
    <t>Start chilling</t>
  </si>
  <si>
    <t>Fermenting</t>
  </si>
  <si>
    <t xml:space="preserve">Nottingham Ale Yeast - 11 grams </t>
  </si>
  <si>
    <t>grams</t>
  </si>
  <si>
    <t>Pre-boil conditions</t>
  </si>
  <si>
    <t>SG</t>
  </si>
  <si>
    <t>Post-boil conditions</t>
  </si>
  <si>
    <t>gallons after boil</t>
  </si>
  <si>
    <t>% alpha</t>
  </si>
  <si>
    <t>IBU</t>
  </si>
  <si>
    <t>Cascades Pellets 1 oz</t>
  </si>
  <si>
    <t>Final tgt vol:</t>
  </si>
  <si>
    <t>gallons</t>
  </si>
  <si>
    <t>percent</t>
  </si>
  <si>
    <t>Est Efficiency:</t>
  </si>
  <si>
    <t>Target OG=</t>
  </si>
  <si>
    <t>lb of water incl SS pot=</t>
  </si>
  <si>
    <t>SG of wort collected</t>
  </si>
  <si>
    <t>lb wort/alum pot/lid</t>
  </si>
  <si>
    <t>Boil time</t>
  </si>
  <si>
    <t>min</t>
  </si>
  <si>
    <t>pct</t>
  </si>
  <si>
    <t>Boil loss/hour</t>
  </si>
  <si>
    <t>Pre-boil tgt=</t>
  </si>
  <si>
    <t>Equipment Weights:</t>
  </si>
  <si>
    <t>lb each incl SS pot=</t>
  </si>
  <si>
    <t>Yeast tgt</t>
  </si>
  <si>
    <t>million cells/ml/degP</t>
  </si>
  <si>
    <t>billion</t>
  </si>
  <si>
    <t>Billion cells/g</t>
  </si>
  <si>
    <t>g yeast=</t>
  </si>
  <si>
    <t>Cells needed=</t>
  </si>
  <si>
    <t>gallons/lb grain remain=</t>
  </si>
  <si>
    <t>Minutes</t>
  </si>
  <si>
    <t>OG</t>
  </si>
  <si>
    <t>lb wort + alum pot/lid</t>
  </si>
  <si>
    <t>(efficiency) = (measured_pts * target_vol) / (potential_pts * actual_vol)</t>
  </si>
  <si>
    <t>attenuation=</t>
  </si>
  <si>
    <t>alcohol=</t>
  </si>
  <si>
    <t>bottling day, 4oz sugar</t>
  </si>
  <si>
    <t>Cost</t>
  </si>
  <si>
    <t>2/20/09 2pm</t>
  </si>
  <si>
    <t>Into the carboy</t>
  </si>
  <si>
    <t>2/27/09 3pm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</si>
</sst>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0"/>
    <numFmt numFmtId="167" formatCode="0.000"/>
    <numFmt numFmtId="168" formatCode="[$-409]h:mm:ss\ AM/PM"/>
    <numFmt numFmtId="169" formatCode="[$-409]h:mm\ AM/PM;@"/>
    <numFmt numFmtId="170" formatCode="[$-409]m/d/yy\ 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169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44" fontId="0" fillId="0" borderId="0" xfId="17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167" fontId="0" fillId="2" borderId="7" xfId="0" applyNumberFormat="1" applyFill="1" applyBorder="1" applyAlignment="1">
      <alignment/>
    </xf>
    <xf numFmtId="0" fontId="0" fillId="2" borderId="7" xfId="0" applyFont="1" applyFill="1" applyBorder="1" applyAlignment="1">
      <alignment/>
    </xf>
    <xf numFmtId="2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 topLeftCell="A1">
      <selection activeCell="A1" sqref="A1"/>
    </sheetView>
  </sheetViews>
  <sheetFormatPr defaultColWidth="9.140625" defaultRowHeight="12.75"/>
  <cols>
    <col min="2" max="2" width="37.140625" style="0" bestFit="1" customWidth="1"/>
    <col min="3" max="3" width="15.8515625" style="0" bestFit="1" customWidth="1"/>
    <col min="4" max="4" width="13.421875" style="0" bestFit="1" customWidth="1"/>
    <col min="5" max="5" width="20.57421875" style="0" bestFit="1" customWidth="1"/>
    <col min="6" max="6" width="12.57421875" style="0" customWidth="1"/>
    <col min="8" max="8" width="12.7109375" style="0" bestFit="1" customWidth="1"/>
    <col min="9" max="9" width="12.421875" style="0" bestFit="1" customWidth="1"/>
    <col min="10" max="10" width="12.00390625" style="0" bestFit="1" customWidth="1"/>
  </cols>
  <sheetData>
    <row r="1" ht="12.75">
      <c r="A1" s="1" t="s">
        <v>23</v>
      </c>
    </row>
    <row r="2" ht="12.75">
      <c r="A2" s="1" t="s">
        <v>49</v>
      </c>
    </row>
    <row r="3" spans="7:9" ht="12.75">
      <c r="G3" t="s">
        <v>150</v>
      </c>
      <c r="H3" t="s">
        <v>1</v>
      </c>
      <c r="I3" t="s">
        <v>2</v>
      </c>
    </row>
    <row r="4" spans="1:9" ht="12.75">
      <c r="A4" s="1" t="s">
        <v>98</v>
      </c>
      <c r="B4" t="s">
        <v>81</v>
      </c>
      <c r="C4" s="27">
        <v>1.39</v>
      </c>
      <c r="D4" s="32">
        <v>11</v>
      </c>
      <c r="E4" t="s">
        <v>0</v>
      </c>
      <c r="F4" t="str">
        <f aca="true" t="shared" si="0" ref="F4:F11">D4*16&amp;"oz/"&amp;ROUND(D4/$D$12*100,1)&amp;"%"</f>
        <v>176oz/76.9%</v>
      </c>
      <c r="G4" s="5">
        <f aca="true" t="shared" si="1" ref="G4:G11">C4*D4</f>
        <v>15.29</v>
      </c>
      <c r="H4" s="11">
        <v>1.036</v>
      </c>
      <c r="I4" s="13">
        <f aca="true" t="shared" si="2" ref="I4:I11">((H4-1)*1000)*D4/$I$17</f>
        <v>79.20000000000007</v>
      </c>
    </row>
    <row r="5" spans="2:9" ht="12.75">
      <c r="B5" t="s">
        <v>82</v>
      </c>
      <c r="C5" s="27">
        <v>1.99</v>
      </c>
      <c r="D5" s="32">
        <v>1</v>
      </c>
      <c r="E5" t="s">
        <v>0</v>
      </c>
      <c r="F5" t="str">
        <f t="shared" si="0"/>
        <v>16oz/7%</v>
      </c>
      <c r="G5" s="5">
        <f t="shared" si="1"/>
        <v>1.99</v>
      </c>
      <c r="H5" s="11">
        <v>1.028</v>
      </c>
      <c r="I5" s="13">
        <f t="shared" si="2"/>
        <v>5.600000000000005</v>
      </c>
    </row>
    <row r="6" spans="2:9" ht="12.75">
      <c r="B6" s="2" t="s">
        <v>24</v>
      </c>
      <c r="C6" s="27">
        <v>1.99</v>
      </c>
      <c r="D6" s="32">
        <v>1</v>
      </c>
      <c r="E6" t="s">
        <v>0</v>
      </c>
      <c r="F6" t="str">
        <f t="shared" si="0"/>
        <v>16oz/7%</v>
      </c>
      <c r="G6" s="5">
        <f t="shared" si="1"/>
        <v>1.99</v>
      </c>
      <c r="H6" s="11">
        <v>1.034</v>
      </c>
      <c r="I6" s="13">
        <f t="shared" si="2"/>
        <v>6.800000000000006</v>
      </c>
    </row>
    <row r="7" spans="2:9" ht="12.75">
      <c r="B7" t="s">
        <v>83</v>
      </c>
      <c r="C7" s="27">
        <v>1.99</v>
      </c>
      <c r="D7" s="32">
        <v>0.25</v>
      </c>
      <c r="E7" t="s">
        <v>0</v>
      </c>
      <c r="F7" t="str">
        <f t="shared" si="0"/>
        <v>4oz/1.7%</v>
      </c>
      <c r="G7" s="5">
        <f t="shared" si="1"/>
        <v>0.4975</v>
      </c>
      <c r="H7" s="11">
        <v>1.025</v>
      </c>
      <c r="I7" s="13">
        <f t="shared" si="2"/>
        <v>1.2499999999999956</v>
      </c>
    </row>
    <row r="8" spans="2:9" ht="12.75">
      <c r="B8" t="s">
        <v>7</v>
      </c>
      <c r="C8" s="27">
        <v>1.99</v>
      </c>
      <c r="D8" s="32">
        <v>0</v>
      </c>
      <c r="E8" t="s">
        <v>0</v>
      </c>
      <c r="F8" t="str">
        <f t="shared" si="0"/>
        <v>0oz/0%</v>
      </c>
      <c r="G8" s="5">
        <f t="shared" si="1"/>
        <v>0</v>
      </c>
      <c r="H8" s="11">
        <v>1.03</v>
      </c>
      <c r="I8" s="13">
        <f t="shared" si="2"/>
        <v>0</v>
      </c>
    </row>
    <row r="9" spans="2:9" ht="12.75">
      <c r="B9" t="s">
        <v>84</v>
      </c>
      <c r="C9" s="27">
        <v>1.99</v>
      </c>
      <c r="D9" s="32">
        <v>0.0625</v>
      </c>
      <c r="E9" t="s">
        <v>0</v>
      </c>
      <c r="F9" t="str">
        <f t="shared" si="0"/>
        <v>1oz/0.4%</v>
      </c>
      <c r="G9" s="5">
        <f t="shared" si="1"/>
        <v>0.124375</v>
      </c>
      <c r="H9" s="11">
        <v>1.025</v>
      </c>
      <c r="I9" s="13">
        <f t="shared" si="2"/>
        <v>0.3124999999999989</v>
      </c>
    </row>
    <row r="10" spans="2:9" ht="12.75">
      <c r="B10" t="s">
        <v>21</v>
      </c>
      <c r="C10" s="27">
        <v>1.29</v>
      </c>
      <c r="D10" s="32">
        <v>0.5</v>
      </c>
      <c r="E10" t="s">
        <v>0</v>
      </c>
      <c r="F10" t="str">
        <f t="shared" si="0"/>
        <v>8oz/3.5%</v>
      </c>
      <c r="G10" s="5">
        <f t="shared" si="1"/>
        <v>0.645</v>
      </c>
      <c r="H10" s="11">
        <v>1.037</v>
      </c>
      <c r="I10" s="13">
        <f t="shared" si="2"/>
        <v>3.699999999999992</v>
      </c>
    </row>
    <row r="11" spans="2:9" ht="12.75">
      <c r="B11" t="s">
        <v>85</v>
      </c>
      <c r="C11" s="27">
        <v>1.99</v>
      </c>
      <c r="D11" s="32">
        <v>0.5</v>
      </c>
      <c r="E11" t="s">
        <v>0</v>
      </c>
      <c r="F11" t="str">
        <f t="shared" si="0"/>
        <v>8oz/3.5%</v>
      </c>
      <c r="G11" s="5">
        <f t="shared" si="1"/>
        <v>0.995</v>
      </c>
      <c r="H11" s="11">
        <v>1.032</v>
      </c>
      <c r="I11" s="13">
        <f t="shared" si="2"/>
        <v>3.200000000000003</v>
      </c>
    </row>
    <row r="12" spans="4:9" ht="12.75">
      <c r="D12" s="3">
        <f>SUM(D4:D11)</f>
        <v>14.3125</v>
      </c>
      <c r="F12" s="1" t="str">
        <f>ROUND(SUM(D5:D11)/D12*20,1)&amp;"%spec"</f>
        <v>4.6%spec</v>
      </c>
      <c r="G12" s="4">
        <f>SUM(G4:G11)</f>
        <v>21.531874999999996</v>
      </c>
      <c r="I12" s="12">
        <f>(SUM(I4:I11))/1000+1</f>
        <v>1.1000625000000002</v>
      </c>
    </row>
    <row r="14" spans="8:10" ht="12.75">
      <c r="H14" t="s">
        <v>124</v>
      </c>
      <c r="I14" s="33">
        <v>80</v>
      </c>
      <c r="J14" t="s">
        <v>123</v>
      </c>
    </row>
    <row r="15" spans="8:10" ht="12.75">
      <c r="H15" t="s">
        <v>125</v>
      </c>
      <c r="I15" s="15">
        <f>1+I14/100*(I12-1)</f>
        <v>1.0800500000000002</v>
      </c>
      <c r="J15" s="30"/>
    </row>
    <row r="16" spans="1:5" ht="12.75">
      <c r="A16" s="1" t="s">
        <v>99</v>
      </c>
      <c r="D16" s="33">
        <v>1.25</v>
      </c>
      <c r="E16" t="s">
        <v>86</v>
      </c>
    </row>
    <row r="17" spans="2:10" ht="12.75">
      <c r="B17" t="s">
        <v>50</v>
      </c>
      <c r="D17" s="13">
        <f>D16*D12/4</f>
        <v>4.47265625</v>
      </c>
      <c r="E17" t="s">
        <v>87</v>
      </c>
      <c r="H17" t="s">
        <v>121</v>
      </c>
      <c r="I17" s="33">
        <v>5</v>
      </c>
      <c r="J17" t="s">
        <v>122</v>
      </c>
    </row>
    <row r="18" spans="2:10" ht="12.75">
      <c r="B18" t="s">
        <v>51</v>
      </c>
      <c r="D18" s="14">
        <f>D17*8.34+G31</f>
        <v>42.201953124999996</v>
      </c>
      <c r="E18" s="1" t="s">
        <v>126</v>
      </c>
      <c r="H18" t="s">
        <v>132</v>
      </c>
      <c r="I18" s="33">
        <v>18.4</v>
      </c>
      <c r="J18" t="s">
        <v>131</v>
      </c>
    </row>
    <row r="19" spans="2:10" ht="12.75">
      <c r="B19" t="s">
        <v>90</v>
      </c>
      <c r="D19" s="14">
        <f>D17/5*3</f>
        <v>2.68359375</v>
      </c>
      <c r="E19" s="1" t="s">
        <v>88</v>
      </c>
      <c r="H19" t="s">
        <v>129</v>
      </c>
      <c r="I19" s="33">
        <v>90</v>
      </c>
      <c r="J19" t="s">
        <v>130</v>
      </c>
    </row>
    <row r="20" spans="8:10" ht="12.75">
      <c r="H20" t="s">
        <v>133</v>
      </c>
      <c r="I20" s="14">
        <f>I17/((100-(I19/60*I18))/100)</f>
        <v>6.906077348066297</v>
      </c>
      <c r="J20" t="s">
        <v>122</v>
      </c>
    </row>
    <row r="21" spans="4:5" ht="12.75">
      <c r="D21" s="33">
        <v>31.7</v>
      </c>
      <c r="E21" t="s">
        <v>128</v>
      </c>
    </row>
    <row r="22" spans="4:10" ht="12.75">
      <c r="D22" s="34">
        <v>1.08</v>
      </c>
      <c r="E22" t="s">
        <v>127</v>
      </c>
      <c r="H22" t="s">
        <v>136</v>
      </c>
      <c r="I22" s="33">
        <v>0.75</v>
      </c>
      <c r="J22" t="s">
        <v>137</v>
      </c>
    </row>
    <row r="23" spans="4:10" ht="12.75">
      <c r="D23" s="13">
        <f>(D21-7.3)/(8.34*D22)</f>
        <v>2.7089439559463537</v>
      </c>
      <c r="E23" t="s">
        <v>93</v>
      </c>
      <c r="H23" t="s">
        <v>141</v>
      </c>
      <c r="I23" s="13">
        <f>(I15-1)/4*1000*I22*1000000*I17*3785/1000000000</f>
        <v>284.0524218750006</v>
      </c>
      <c r="J23" t="s">
        <v>138</v>
      </c>
    </row>
    <row r="24" spans="4:9" ht="12.75">
      <c r="D24" s="13">
        <f>I20</f>
        <v>6.906077348066297</v>
      </c>
      <c r="E24" t="s">
        <v>94</v>
      </c>
      <c r="H24" t="s">
        <v>139</v>
      </c>
      <c r="I24" s="33">
        <v>20</v>
      </c>
    </row>
    <row r="25" spans="4:9" ht="12.75">
      <c r="D25" s="33">
        <v>2</v>
      </c>
      <c r="E25" t="s">
        <v>95</v>
      </c>
      <c r="H25" t="s">
        <v>140</v>
      </c>
      <c r="I25" s="13">
        <f>I23/I24</f>
        <v>14.20262109375003</v>
      </c>
    </row>
    <row r="26" spans="4:9" ht="12.75">
      <c r="D26" s="13">
        <f>(I20-D23)/D25</f>
        <v>2.098566696059972</v>
      </c>
      <c r="E26" t="s">
        <v>96</v>
      </c>
      <c r="H26" t="s">
        <v>5</v>
      </c>
      <c r="I26" s="28">
        <f>30*9/5+32</f>
        <v>86</v>
      </c>
    </row>
    <row r="27" spans="2:9" ht="12.75">
      <c r="B27" t="s">
        <v>97</v>
      </c>
      <c r="D27" s="14">
        <f>D26*8.34+G31</f>
        <v>22.402046245140163</v>
      </c>
      <c r="E27" s="1" t="s">
        <v>135</v>
      </c>
      <c r="H27" t="s">
        <v>6</v>
      </c>
      <c r="I27" s="28">
        <f>35*9/5+32</f>
        <v>95</v>
      </c>
    </row>
    <row r="28" spans="4:5" ht="12.75">
      <c r="D28" s="14">
        <f>D26/5*3</f>
        <v>1.2591400176359833</v>
      </c>
      <c r="E28" s="1" t="s">
        <v>88</v>
      </c>
    </row>
    <row r="29" spans="4:5" ht="13.5" thickBot="1">
      <c r="D29" s="1"/>
      <c r="E29" s="1"/>
    </row>
    <row r="30" spans="2:8" ht="12.75">
      <c r="B30" t="s">
        <v>114</v>
      </c>
      <c r="D30" s="33">
        <v>69.2</v>
      </c>
      <c r="E30" s="1" t="s">
        <v>145</v>
      </c>
      <c r="G30" s="16" t="s">
        <v>134</v>
      </c>
      <c r="H30" s="17"/>
    </row>
    <row r="31" spans="4:8" ht="12.75">
      <c r="D31" s="34">
        <v>1.05</v>
      </c>
      <c r="E31" s="1" t="s">
        <v>115</v>
      </c>
      <c r="G31" s="18">
        <v>4.9</v>
      </c>
      <c r="H31" s="19" t="s">
        <v>89</v>
      </c>
    </row>
    <row r="32" spans="4:8" ht="12.75">
      <c r="D32" s="13">
        <f>(D30-G33)/(8.34*D31)</f>
        <v>7.068630809638004</v>
      </c>
      <c r="E32" s="1" t="s">
        <v>3</v>
      </c>
      <c r="G32" s="18">
        <v>5.7</v>
      </c>
      <c r="H32" s="19" t="s">
        <v>91</v>
      </c>
    </row>
    <row r="33" spans="4:8" ht="13.5" thickBot="1">
      <c r="D33" s="11">
        <f>((D17+(D26*D25))-D32)/D12</f>
        <v>0.11187135947472071</v>
      </c>
      <c r="E33" s="8" t="s">
        <v>142</v>
      </c>
      <c r="G33" s="20">
        <v>7.3</v>
      </c>
      <c r="H33" s="21" t="s">
        <v>92</v>
      </c>
    </row>
    <row r="34" spans="1:5" ht="12.75">
      <c r="A34" s="1" t="s">
        <v>100</v>
      </c>
      <c r="E34" s="8"/>
    </row>
    <row r="35" spans="1:6" ht="12.75">
      <c r="A35" s="1"/>
      <c r="E35" s="8"/>
      <c r="F35" s="23" t="s">
        <v>143</v>
      </c>
    </row>
    <row r="36" spans="2:16" ht="12.75">
      <c r="B36" t="s">
        <v>101</v>
      </c>
      <c r="C36" s="27">
        <v>1.19</v>
      </c>
      <c r="D36" s="33">
        <v>8</v>
      </c>
      <c r="E36" t="s">
        <v>104</v>
      </c>
      <c r="F36">
        <v>20</v>
      </c>
      <c r="G36" s="5">
        <f>C36*D36/8</f>
        <v>1.19</v>
      </c>
      <c r="L36" s="29" t="s">
        <v>19</v>
      </c>
      <c r="M36" s="29"/>
      <c r="N36" s="29"/>
      <c r="O36" s="29"/>
      <c r="P36" s="29"/>
    </row>
    <row r="37" spans="3:16" ht="12.75">
      <c r="C37" s="27"/>
      <c r="G37" s="5"/>
      <c r="J37" s="10" t="s">
        <v>119</v>
      </c>
      <c r="L37" s="29" t="s">
        <v>16</v>
      </c>
      <c r="M37" s="29" t="s">
        <v>17</v>
      </c>
      <c r="N37" s="29" t="s">
        <v>18</v>
      </c>
      <c r="O37" s="29" t="s">
        <v>15</v>
      </c>
      <c r="P37" s="29"/>
    </row>
    <row r="38" spans="2:16" ht="12.75">
      <c r="B38" t="s">
        <v>102</v>
      </c>
      <c r="C38" s="27">
        <v>2.99</v>
      </c>
      <c r="D38" s="33">
        <v>1</v>
      </c>
      <c r="E38" t="s">
        <v>104</v>
      </c>
      <c r="F38">
        <v>60</v>
      </c>
      <c r="G38" s="5">
        <f aca="true" t="shared" si="3" ref="G38:G45">C38*D38</f>
        <v>2.99</v>
      </c>
      <c r="H38">
        <v>9.8</v>
      </c>
      <c r="I38" t="s">
        <v>118</v>
      </c>
      <c r="J38" s="13">
        <f aca="true" t="shared" si="4" ref="J38:J45">P38</f>
        <v>25.852089668803696</v>
      </c>
      <c r="K38" t="s">
        <v>11</v>
      </c>
      <c r="L38" s="29">
        <f aca="true" t="shared" si="5" ref="L38:L45">(H38/100)*D38*7490/$I$17</f>
        <v>146.804</v>
      </c>
      <c r="M38" s="29">
        <f aca="true" t="shared" si="6" ref="M38:M45">1.65*0.000125^($I$15-1)</f>
        <v>0.8036030765562282</v>
      </c>
      <c r="N38" s="29">
        <f aca="true" t="shared" si="7" ref="N38:N45">(1-2.72^(-0.04*F38))/4.15</f>
        <v>0.2191372331031443</v>
      </c>
      <c r="O38" s="29">
        <f aca="true" t="shared" si="8" ref="O38:O45">M38*N38</f>
        <v>0.1760993547097061</v>
      </c>
      <c r="P38" s="29">
        <f aca="true" t="shared" si="9" ref="P38:P45">L38*O38</f>
        <v>25.852089668803696</v>
      </c>
    </row>
    <row r="39" spans="2:16" ht="12.75">
      <c r="B39" t="s">
        <v>8</v>
      </c>
      <c r="C39" s="27">
        <v>2.99</v>
      </c>
      <c r="D39" s="33">
        <v>0</v>
      </c>
      <c r="E39" t="s">
        <v>104</v>
      </c>
      <c r="F39">
        <v>60</v>
      </c>
      <c r="G39" s="5">
        <f t="shared" si="3"/>
        <v>0</v>
      </c>
      <c r="H39">
        <v>8.5</v>
      </c>
      <c r="I39" t="s">
        <v>118</v>
      </c>
      <c r="J39" s="13">
        <f t="shared" si="4"/>
        <v>0</v>
      </c>
      <c r="K39" t="s">
        <v>12</v>
      </c>
      <c r="L39" s="29">
        <f t="shared" si="5"/>
        <v>0</v>
      </c>
      <c r="M39" s="29">
        <f t="shared" si="6"/>
        <v>0.8036030765562282</v>
      </c>
      <c r="N39" s="29">
        <f t="shared" si="7"/>
        <v>0.2191372331031443</v>
      </c>
      <c r="O39" s="29">
        <f t="shared" si="8"/>
        <v>0.1760993547097061</v>
      </c>
      <c r="P39" s="29">
        <f t="shared" si="9"/>
        <v>0</v>
      </c>
    </row>
    <row r="40" spans="2:16" ht="12.75">
      <c r="B40" t="s">
        <v>9</v>
      </c>
      <c r="C40" s="27">
        <v>2.99</v>
      </c>
      <c r="D40" s="33">
        <v>0</v>
      </c>
      <c r="E40" t="s">
        <v>104</v>
      </c>
      <c r="F40">
        <v>60</v>
      </c>
      <c r="G40" s="5">
        <f t="shared" si="3"/>
        <v>0</v>
      </c>
      <c r="H40">
        <v>5.5</v>
      </c>
      <c r="I40" t="s">
        <v>118</v>
      </c>
      <c r="J40" s="13">
        <f t="shared" si="4"/>
        <v>0</v>
      </c>
      <c r="K40" t="s">
        <v>10</v>
      </c>
      <c r="L40" s="29">
        <f t="shared" si="5"/>
        <v>0</v>
      </c>
      <c r="M40" s="29">
        <f t="shared" si="6"/>
        <v>0.8036030765562282</v>
      </c>
      <c r="N40" s="29">
        <f t="shared" si="7"/>
        <v>0.2191372331031443</v>
      </c>
      <c r="O40" s="29">
        <f t="shared" si="8"/>
        <v>0.1760993547097061</v>
      </c>
      <c r="P40" s="29">
        <f t="shared" si="9"/>
        <v>0</v>
      </c>
    </row>
    <row r="41" spans="2:16" ht="12.75">
      <c r="B41" t="s">
        <v>120</v>
      </c>
      <c r="C41" s="27">
        <v>2.99</v>
      </c>
      <c r="D41" s="33">
        <v>1</v>
      </c>
      <c r="E41" t="s">
        <v>104</v>
      </c>
      <c r="F41">
        <v>60</v>
      </c>
      <c r="G41" s="5">
        <f t="shared" si="3"/>
        <v>2.99</v>
      </c>
      <c r="H41">
        <v>5.4</v>
      </c>
      <c r="I41" t="s">
        <v>118</v>
      </c>
      <c r="J41" s="13">
        <f t="shared" si="4"/>
        <v>14.24502900117755</v>
      </c>
      <c r="K41" t="s">
        <v>11</v>
      </c>
      <c r="L41" s="29">
        <f t="shared" si="5"/>
        <v>80.89200000000001</v>
      </c>
      <c r="M41" s="29">
        <f t="shared" si="6"/>
        <v>0.8036030765562282</v>
      </c>
      <c r="N41" s="29">
        <f t="shared" si="7"/>
        <v>0.2191372331031443</v>
      </c>
      <c r="O41" s="29">
        <f t="shared" si="8"/>
        <v>0.1760993547097061</v>
      </c>
      <c r="P41" s="29">
        <f t="shared" si="9"/>
        <v>14.24502900117755</v>
      </c>
    </row>
    <row r="42" spans="2:16" ht="12.75">
      <c r="B42" t="s">
        <v>22</v>
      </c>
      <c r="C42" s="27">
        <v>2.99</v>
      </c>
      <c r="D42" s="33">
        <v>0</v>
      </c>
      <c r="E42" t="s">
        <v>104</v>
      </c>
      <c r="F42">
        <v>60</v>
      </c>
      <c r="G42" s="5">
        <f t="shared" si="3"/>
        <v>0</v>
      </c>
      <c r="H42">
        <v>14</v>
      </c>
      <c r="I42" t="s">
        <v>118</v>
      </c>
      <c r="J42" s="13">
        <f t="shared" si="4"/>
        <v>0</v>
      </c>
      <c r="L42" s="29">
        <f t="shared" si="5"/>
        <v>0</v>
      </c>
      <c r="M42" s="29">
        <f t="shared" si="6"/>
        <v>0.8036030765562282</v>
      </c>
      <c r="N42" s="29">
        <f t="shared" si="7"/>
        <v>0.2191372331031443</v>
      </c>
      <c r="O42" s="29">
        <f t="shared" si="8"/>
        <v>0.1760993547097061</v>
      </c>
      <c r="P42" s="29">
        <f t="shared" si="9"/>
        <v>0</v>
      </c>
    </row>
    <row r="43" spans="2:16" ht="12.75">
      <c r="B43" t="s">
        <v>13</v>
      </c>
      <c r="C43" s="27">
        <v>2.99</v>
      </c>
      <c r="D43" s="33">
        <v>0</v>
      </c>
      <c r="E43" t="s">
        <v>104</v>
      </c>
      <c r="F43">
        <v>60</v>
      </c>
      <c r="G43" s="5">
        <f t="shared" si="3"/>
        <v>0</v>
      </c>
      <c r="H43">
        <v>14</v>
      </c>
      <c r="I43" t="s">
        <v>118</v>
      </c>
      <c r="J43" s="13">
        <f t="shared" si="4"/>
        <v>0</v>
      </c>
      <c r="K43" t="s">
        <v>12</v>
      </c>
      <c r="L43" s="29">
        <f t="shared" si="5"/>
        <v>0</v>
      </c>
      <c r="M43" s="29">
        <f t="shared" si="6"/>
        <v>0.8036030765562282</v>
      </c>
      <c r="N43" s="29">
        <f t="shared" si="7"/>
        <v>0.2191372331031443</v>
      </c>
      <c r="O43" s="29">
        <f t="shared" si="8"/>
        <v>0.1760993547097061</v>
      </c>
      <c r="P43" s="29">
        <f t="shared" si="9"/>
        <v>0</v>
      </c>
    </row>
    <row r="44" spans="2:16" ht="12.75">
      <c r="B44" t="s">
        <v>14</v>
      </c>
      <c r="C44" s="27">
        <v>2.99</v>
      </c>
      <c r="D44" s="33">
        <v>0</v>
      </c>
      <c r="E44" t="s">
        <v>104</v>
      </c>
      <c r="F44">
        <v>20</v>
      </c>
      <c r="G44" s="5">
        <f t="shared" si="3"/>
        <v>0</v>
      </c>
      <c r="H44">
        <v>10</v>
      </c>
      <c r="I44" t="s">
        <v>118</v>
      </c>
      <c r="J44" s="13">
        <f t="shared" si="4"/>
        <v>0</v>
      </c>
      <c r="K44" t="s">
        <v>12</v>
      </c>
      <c r="L44" s="29">
        <f t="shared" si="5"/>
        <v>0</v>
      </c>
      <c r="M44" s="29">
        <f t="shared" si="6"/>
        <v>0.8036030765562282</v>
      </c>
      <c r="N44" s="29">
        <f t="shared" si="7"/>
        <v>0.1327465340198248</v>
      </c>
      <c r="O44" s="29">
        <f t="shared" si="8"/>
        <v>0.10667552314050723</v>
      </c>
      <c r="P44" s="29">
        <f t="shared" si="9"/>
        <v>0</v>
      </c>
    </row>
    <row r="45" spans="2:16" ht="12.75">
      <c r="B45" t="s">
        <v>14</v>
      </c>
      <c r="C45" s="27">
        <v>2.99</v>
      </c>
      <c r="D45" s="33">
        <v>0</v>
      </c>
      <c r="E45" t="s">
        <v>104</v>
      </c>
      <c r="F45">
        <v>5</v>
      </c>
      <c r="G45" s="5">
        <f t="shared" si="3"/>
        <v>0</v>
      </c>
      <c r="H45">
        <v>10</v>
      </c>
      <c r="I45" t="s">
        <v>118</v>
      </c>
      <c r="J45" s="13">
        <f t="shared" si="4"/>
        <v>0</v>
      </c>
      <c r="K45" t="s">
        <v>12</v>
      </c>
      <c r="L45" s="29">
        <f t="shared" si="5"/>
        <v>0</v>
      </c>
      <c r="M45" s="29">
        <f t="shared" si="6"/>
        <v>0.8036030765562282</v>
      </c>
      <c r="N45" s="29">
        <f t="shared" si="7"/>
        <v>0.043704267072873684</v>
      </c>
      <c r="O45" s="29">
        <f t="shared" si="8"/>
        <v>0.035120883478396356</v>
      </c>
      <c r="P45" s="29">
        <f t="shared" si="9"/>
        <v>0</v>
      </c>
    </row>
    <row r="46" spans="3:10" ht="12.75">
      <c r="C46" s="27"/>
      <c r="G46" s="5"/>
      <c r="J46" s="13"/>
    </row>
    <row r="47" spans="2:10" ht="12.75">
      <c r="B47" t="s">
        <v>112</v>
      </c>
      <c r="C47" s="27">
        <v>1.99</v>
      </c>
      <c r="D47" s="33">
        <v>11</v>
      </c>
      <c r="E47" t="s">
        <v>113</v>
      </c>
      <c r="G47" s="5">
        <f>C47*D47/11</f>
        <v>1.99</v>
      </c>
      <c r="J47" s="22">
        <f>SUM(J38:J45)</f>
        <v>40.09711866998124</v>
      </c>
    </row>
    <row r="48" spans="7:10" ht="12.75">
      <c r="G48" s="7">
        <f>SUM(G36:G47)</f>
        <v>9.16</v>
      </c>
      <c r="I48" t="s">
        <v>20</v>
      </c>
      <c r="J48">
        <f>J47/((I15-1)*1000)</f>
        <v>0.5009009202995771</v>
      </c>
    </row>
    <row r="49" spans="2:5" ht="12.75">
      <c r="B49" t="s">
        <v>105</v>
      </c>
      <c r="C49" s="6"/>
      <c r="D49" s="33">
        <v>90</v>
      </c>
      <c r="E49" t="s">
        <v>103</v>
      </c>
    </row>
    <row r="50" spans="2:5" ht="12.75">
      <c r="B50" t="s">
        <v>106</v>
      </c>
      <c r="D50" s="33">
        <v>60</v>
      </c>
      <c r="E50" t="s">
        <v>107</v>
      </c>
    </row>
    <row r="51" spans="2:5" ht="12.75">
      <c r="B51" t="s">
        <v>109</v>
      </c>
      <c r="D51" s="35">
        <v>20</v>
      </c>
      <c r="E51" t="s">
        <v>107</v>
      </c>
    </row>
    <row r="52" spans="2:5" ht="12.75">
      <c r="B52" t="s">
        <v>108</v>
      </c>
      <c r="D52" s="33">
        <v>12</v>
      </c>
      <c r="E52" t="s">
        <v>107</v>
      </c>
    </row>
    <row r="53" spans="2:5" ht="12.75">
      <c r="B53" t="s">
        <v>110</v>
      </c>
      <c r="D53" s="33">
        <v>0</v>
      </c>
      <c r="E53" t="s">
        <v>107</v>
      </c>
    </row>
    <row r="55" spans="2:5" ht="12.75">
      <c r="B55" t="s">
        <v>116</v>
      </c>
      <c r="D55" s="33">
        <v>53</v>
      </c>
      <c r="E55" s="1" t="s">
        <v>145</v>
      </c>
    </row>
    <row r="56" spans="4:5" ht="12.75">
      <c r="D56" s="33">
        <v>1.084</v>
      </c>
      <c r="E56" s="1" t="s">
        <v>144</v>
      </c>
    </row>
    <row r="57" spans="4:5" ht="12.75">
      <c r="D57" s="13">
        <f>(D55-G33)/(8.34*D56)</f>
        <v>5.054996593131398</v>
      </c>
      <c r="E57" s="1" t="s">
        <v>117</v>
      </c>
    </row>
    <row r="58" spans="4:6" ht="12.75">
      <c r="D58" s="13">
        <f>((($D$56-1)*1000)*I17)/((($I$12-1)*1000)*D57)*100</f>
        <v>83.03421302604903</v>
      </c>
      <c r="E58" s="1" t="s">
        <v>4</v>
      </c>
      <c r="F58" s="24" t="s">
        <v>146</v>
      </c>
    </row>
    <row r="61" ht="12.75">
      <c r="A61" s="1" t="s">
        <v>111</v>
      </c>
    </row>
    <row r="62" spans="3:5" ht="12.75">
      <c r="C62" s="9" t="s">
        <v>151</v>
      </c>
      <c r="D62" s="33">
        <v>1.084</v>
      </c>
      <c r="E62" s="31" t="s">
        <v>152</v>
      </c>
    </row>
    <row r="63" spans="3:5" ht="12.75">
      <c r="C63" t="s">
        <v>153</v>
      </c>
      <c r="D63" s="33">
        <v>1.025</v>
      </c>
      <c r="E63" s="31" t="s">
        <v>149</v>
      </c>
    </row>
    <row r="64" spans="3:5" ht="12.75">
      <c r="C64" t="s">
        <v>147</v>
      </c>
      <c r="D64" s="36">
        <f>((D62-1)*1000-(D63-1)*1000)/((D62-1)*1000)*100</f>
        <v>70.23809523809537</v>
      </c>
      <c r="E64" s="25" t="s">
        <v>123</v>
      </c>
    </row>
    <row r="65" spans="3:5" ht="12.75">
      <c r="C65" t="s">
        <v>148</v>
      </c>
      <c r="D65" s="36">
        <f>((D62-1)*1000-(D63-1)*1000)/7.36</f>
        <v>8.016304347826107</v>
      </c>
      <c r="E65" s="25" t="s">
        <v>123</v>
      </c>
    </row>
    <row r="66" spans="3:5" ht="12.75">
      <c r="C66" s="26"/>
      <c r="E66" s="25"/>
    </row>
  </sheetData>
  <printOptions gridLines="1"/>
  <pageMargins left="0.75" right="0.75" top="1" bottom="1" header="0.5" footer="0.5"/>
  <pageSetup fitToHeight="1" fitToWidth="1" orientation="portrait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D27" sqref="D27:D28"/>
    </sheetView>
  </sheetViews>
  <sheetFormatPr defaultColWidth="9.140625" defaultRowHeight="12.75"/>
  <cols>
    <col min="2" max="2" width="27.57421875" style="0" bestFit="1" customWidth="1"/>
    <col min="5" max="5" width="40.57421875" style="0" customWidth="1"/>
  </cols>
  <sheetData>
    <row r="1" ht="12.75">
      <c r="A1" t="s">
        <v>25</v>
      </c>
    </row>
    <row r="3" spans="1:4" ht="12.75">
      <c r="A3" t="s">
        <v>35</v>
      </c>
      <c r="D3" t="s">
        <v>43</v>
      </c>
    </row>
    <row r="4" spans="2:5" ht="12.75">
      <c r="B4" t="s">
        <v>42</v>
      </c>
      <c r="E4" s="2" t="s">
        <v>44</v>
      </c>
    </row>
    <row r="5" spans="2:5" ht="12.75">
      <c r="B5" t="s">
        <v>36</v>
      </c>
      <c r="E5" s="2" t="s">
        <v>45</v>
      </c>
    </row>
    <row r="6" spans="2:5" ht="12.75">
      <c r="B6" t="s">
        <v>47</v>
      </c>
      <c r="E6" s="2" t="s">
        <v>59</v>
      </c>
    </row>
    <row r="7" spans="2:5" ht="12.75">
      <c r="B7" t="s">
        <v>37</v>
      </c>
      <c r="E7" s="2" t="s">
        <v>58</v>
      </c>
    </row>
    <row r="8" spans="2:5" ht="12.75">
      <c r="B8" t="s">
        <v>52</v>
      </c>
      <c r="E8" s="2" t="s">
        <v>60</v>
      </c>
    </row>
    <row r="9" spans="2:5" ht="12.75">
      <c r="B9" t="s">
        <v>48</v>
      </c>
      <c r="E9" s="2" t="s">
        <v>46</v>
      </c>
    </row>
    <row r="10" spans="2:5" ht="12.75">
      <c r="B10" t="s">
        <v>38</v>
      </c>
      <c r="E10" s="2" t="s">
        <v>53</v>
      </c>
    </row>
    <row r="11" spans="2:5" ht="12.75">
      <c r="B11" t="s">
        <v>79</v>
      </c>
      <c r="E11" s="2" t="s">
        <v>55</v>
      </c>
    </row>
    <row r="12" spans="2:5" ht="12.75">
      <c r="B12" t="s">
        <v>41</v>
      </c>
      <c r="E12" s="2" t="s">
        <v>77</v>
      </c>
    </row>
    <row r="13" spans="2:5" ht="12.75">
      <c r="B13" t="s">
        <v>54</v>
      </c>
      <c r="E13" s="2" t="s">
        <v>56</v>
      </c>
    </row>
    <row r="14" spans="2:5" ht="12.75">
      <c r="B14" t="s">
        <v>73</v>
      </c>
      <c r="E14" s="2" t="s">
        <v>57</v>
      </c>
    </row>
    <row r="15" spans="2:5" ht="12.75">
      <c r="B15" t="s">
        <v>74</v>
      </c>
      <c r="E15" s="2" t="s">
        <v>61</v>
      </c>
    </row>
    <row r="16" spans="2:5" ht="12.75">
      <c r="B16" t="s">
        <v>75</v>
      </c>
      <c r="E16" s="2" t="s">
        <v>59</v>
      </c>
    </row>
    <row r="17" spans="2:5" ht="12.75">
      <c r="B17" t="s">
        <v>76</v>
      </c>
      <c r="E17" s="2" t="s">
        <v>62</v>
      </c>
    </row>
    <row r="18" spans="2:5" ht="12.75">
      <c r="B18" t="s">
        <v>78</v>
      </c>
      <c r="E18" s="2" t="s">
        <v>63</v>
      </c>
    </row>
    <row r="19" spans="2:5" ht="12.75">
      <c r="B19" t="s">
        <v>80</v>
      </c>
      <c r="E19" s="2" t="s">
        <v>64</v>
      </c>
    </row>
    <row r="20" ht="12.75">
      <c r="E20" s="2" t="s">
        <v>77</v>
      </c>
    </row>
    <row r="21" ht="12.75">
      <c r="E21" t="s">
        <v>56</v>
      </c>
    </row>
    <row r="22" spans="1:5" ht="12.75">
      <c r="A22" t="s">
        <v>26</v>
      </c>
      <c r="E22" t="s">
        <v>65</v>
      </c>
    </row>
    <row r="23" spans="1:5" ht="12.75">
      <c r="A23" t="s">
        <v>30</v>
      </c>
      <c r="E23" t="s">
        <v>66</v>
      </c>
    </row>
    <row r="24" spans="2:5" ht="12.75">
      <c r="B24" t="s">
        <v>27</v>
      </c>
      <c r="E24" t="s">
        <v>67</v>
      </c>
    </row>
    <row r="25" spans="2:5" ht="12.75">
      <c r="B25" t="s">
        <v>28</v>
      </c>
      <c r="E25" t="s">
        <v>68</v>
      </c>
    </row>
    <row r="26" spans="2:5" ht="12.75">
      <c r="B26" t="s">
        <v>29</v>
      </c>
      <c r="E26" t="s">
        <v>69</v>
      </c>
    </row>
    <row r="27" spans="1:5" ht="12.75">
      <c r="A27" t="s">
        <v>39</v>
      </c>
      <c r="E27" t="s">
        <v>70</v>
      </c>
    </row>
    <row r="28" spans="1:5" ht="12.75">
      <c r="A28" t="s">
        <v>31</v>
      </c>
      <c r="E28" t="s">
        <v>71</v>
      </c>
    </row>
    <row r="29" spans="1:5" ht="12.75">
      <c r="A29" t="s">
        <v>32</v>
      </c>
      <c r="E29" t="s">
        <v>72</v>
      </c>
    </row>
    <row r="31" ht="12.75">
      <c r="A31" t="s">
        <v>33</v>
      </c>
    </row>
    <row r="32" ht="12.75">
      <c r="A32" t="s">
        <v>34</v>
      </c>
    </row>
    <row r="33" ht="12.75">
      <c r="A33" t="s">
        <v>40</v>
      </c>
    </row>
  </sheetData>
  <printOptions gridLines="1"/>
  <pageMargins left="0.75" right="0.75" top="1" bottom="1" header="0.5" footer="0.5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 Me</cp:lastModifiedBy>
  <cp:lastPrinted>2010-02-20T12:03:49Z</cp:lastPrinted>
  <dcterms:created xsi:type="dcterms:W3CDTF">2006-10-24T16:46:01Z</dcterms:created>
  <dcterms:modified xsi:type="dcterms:W3CDTF">2010-03-03T12:00:39Z</dcterms:modified>
  <cp:category/>
  <cp:version/>
  <cp:contentType/>
  <cp:contentStatus/>
</cp:coreProperties>
</file>